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F2D10FA-B84A-434B-85F9-FB3A98C90869}" xr6:coauthVersionLast="36" xr6:coauthVersionMax="36" xr10:uidLastSave="{00000000-0000-0000-0000-000000000000}"/>
  <bookViews>
    <workbookView xWindow="0" yWindow="0" windowWidth="22260" windowHeight="12645" activeTab="4" xr2:uid="{00000000-000D-0000-FFFF-FFFF00000000}"/>
  </bookViews>
  <sheets>
    <sheet name="июнь 2024" sheetId="1" r:id="rId1"/>
    <sheet name="июль 2024" sheetId="2" r:id="rId2"/>
    <sheet name="август 2024" sheetId="3" r:id="rId3"/>
    <sheet name="сентябрь 2024" sheetId="4" r:id="rId4"/>
    <sheet name="октябрь 2024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G14" i="5"/>
  <c r="I10" i="5"/>
  <c r="H10" i="5"/>
  <c r="J10" i="5"/>
  <c r="J6" i="5" s="1"/>
  <c r="J16" i="5" s="1"/>
  <c r="R15" i="5"/>
  <c r="R14" i="5"/>
  <c r="S13" i="5"/>
  <c r="R13" i="5"/>
  <c r="S12" i="5"/>
  <c r="R12" i="5"/>
  <c r="Q11" i="5"/>
  <c r="P11" i="5"/>
  <c r="O11" i="5"/>
  <c r="N11" i="5"/>
  <c r="M11" i="5"/>
  <c r="L11" i="5"/>
  <c r="K11" i="5"/>
  <c r="J11" i="5"/>
  <c r="I11" i="5"/>
  <c r="H11" i="5"/>
  <c r="F11" i="5"/>
  <c r="E11" i="5"/>
  <c r="D11" i="5"/>
  <c r="Q10" i="5"/>
  <c r="Q6" i="5" s="1"/>
  <c r="Q16" i="5" s="1"/>
  <c r="O10" i="5"/>
  <c r="M10" i="5"/>
  <c r="E10" i="5"/>
  <c r="E6" i="5" s="1"/>
  <c r="E16" i="5" s="1"/>
  <c r="R9" i="5"/>
  <c r="K9" i="5"/>
  <c r="S8" i="5"/>
  <c r="R8" i="5"/>
  <c r="S7" i="5"/>
  <c r="R7" i="5"/>
  <c r="P6" i="5"/>
  <c r="P16" i="5" s="1"/>
  <c r="O6" i="5"/>
  <c r="O16" i="5" s="1"/>
  <c r="N6" i="5"/>
  <c r="N16" i="5" s="1"/>
  <c r="M6" i="5"/>
  <c r="M16" i="5" s="1"/>
  <c r="L6" i="5"/>
  <c r="L16" i="5" s="1"/>
  <c r="G6" i="5"/>
  <c r="F6" i="5"/>
  <c r="F16" i="5" s="1"/>
  <c r="D6" i="5"/>
  <c r="D16" i="5" s="1"/>
  <c r="G15" i="4"/>
  <c r="S15" i="4" s="1"/>
  <c r="G14" i="4"/>
  <c r="I10" i="4"/>
  <c r="H10" i="4"/>
  <c r="J10" i="4"/>
  <c r="O16" i="4"/>
  <c r="L16" i="4"/>
  <c r="F16" i="4"/>
  <c r="R15" i="4"/>
  <c r="R14" i="4"/>
  <c r="S13" i="4"/>
  <c r="R13" i="4"/>
  <c r="S12" i="4"/>
  <c r="R12" i="4"/>
  <c r="Q11" i="4"/>
  <c r="P11" i="4"/>
  <c r="O11" i="4"/>
  <c r="N11" i="4"/>
  <c r="M11" i="4"/>
  <c r="L11" i="4"/>
  <c r="K11" i="4"/>
  <c r="J11" i="4"/>
  <c r="I11" i="4"/>
  <c r="H11" i="4"/>
  <c r="F11" i="4"/>
  <c r="E11" i="4"/>
  <c r="D11" i="4"/>
  <c r="R10" i="4"/>
  <c r="Q10" i="4"/>
  <c r="Q6" i="4" s="1"/>
  <c r="Q16" i="4" s="1"/>
  <c r="O10" i="4"/>
  <c r="M10" i="4"/>
  <c r="M6" i="4" s="1"/>
  <c r="M16" i="4" s="1"/>
  <c r="K10" i="4"/>
  <c r="E10" i="4"/>
  <c r="S9" i="4"/>
  <c r="R9" i="4"/>
  <c r="K9" i="4"/>
  <c r="S8" i="4"/>
  <c r="R8" i="4"/>
  <c r="S7" i="4"/>
  <c r="R7" i="4"/>
  <c r="P6" i="4"/>
  <c r="P16" i="4" s="1"/>
  <c r="O6" i="4"/>
  <c r="N6" i="4"/>
  <c r="N16" i="4" s="1"/>
  <c r="L6" i="4"/>
  <c r="J6" i="4"/>
  <c r="J16" i="4" s="1"/>
  <c r="H6" i="4"/>
  <c r="H16" i="4" s="1"/>
  <c r="G6" i="4"/>
  <c r="F6" i="4"/>
  <c r="E6" i="4"/>
  <c r="E16" i="4" s="1"/>
  <c r="D6" i="4"/>
  <c r="D16" i="4" s="1"/>
  <c r="G14" i="3"/>
  <c r="S14" i="3" s="1"/>
  <c r="G15" i="3"/>
  <c r="J10" i="3"/>
  <c r="K10" i="3" s="1"/>
  <c r="I10" i="3"/>
  <c r="H10" i="3"/>
  <c r="P16" i="3"/>
  <c r="R15" i="3"/>
  <c r="S15" i="3"/>
  <c r="R14" i="3"/>
  <c r="S13" i="3"/>
  <c r="R13" i="3"/>
  <c r="S12" i="3"/>
  <c r="R12" i="3"/>
  <c r="R11" i="3"/>
  <c r="Q11" i="3"/>
  <c r="P11" i="3"/>
  <c r="O11" i="3"/>
  <c r="N11" i="3"/>
  <c r="M11" i="3"/>
  <c r="L11" i="3"/>
  <c r="K11" i="3"/>
  <c r="J11" i="3"/>
  <c r="I11" i="3"/>
  <c r="H11" i="3"/>
  <c r="F11" i="3"/>
  <c r="F16" i="3" s="1"/>
  <c r="E11" i="3"/>
  <c r="D11" i="3"/>
  <c r="Q10" i="3"/>
  <c r="Q6" i="3" s="1"/>
  <c r="Q16" i="3" s="1"/>
  <c r="O10" i="3"/>
  <c r="O6" i="3" s="1"/>
  <c r="O16" i="3" s="1"/>
  <c r="M10" i="3"/>
  <c r="M6" i="3" s="1"/>
  <c r="I6" i="3"/>
  <c r="I16" i="3" s="1"/>
  <c r="E10" i="3"/>
  <c r="R9" i="3"/>
  <c r="K9" i="3"/>
  <c r="S8" i="3"/>
  <c r="R8" i="3"/>
  <c r="S7" i="3"/>
  <c r="R7" i="3"/>
  <c r="P6" i="3"/>
  <c r="N6" i="3"/>
  <c r="N16" i="3" s="1"/>
  <c r="L6" i="3"/>
  <c r="H6" i="3"/>
  <c r="H16" i="3" s="1"/>
  <c r="G6" i="3"/>
  <c r="F6" i="3"/>
  <c r="D6" i="3"/>
  <c r="D16" i="3" s="1"/>
  <c r="G14" i="2"/>
  <c r="S14" i="2" s="1"/>
  <c r="G15" i="2"/>
  <c r="I10" i="2"/>
  <c r="I6" i="2" s="1"/>
  <c r="I16" i="2" s="1"/>
  <c r="H10" i="2"/>
  <c r="K10" i="2"/>
  <c r="K9" i="2"/>
  <c r="S15" i="2"/>
  <c r="R15" i="2"/>
  <c r="R14" i="2"/>
  <c r="S13" i="2"/>
  <c r="R13" i="2"/>
  <c r="S12" i="2"/>
  <c r="R12" i="2"/>
  <c r="R8" i="2"/>
  <c r="S8" i="2"/>
  <c r="R9" i="2"/>
  <c r="R10" i="2"/>
  <c r="S7" i="2"/>
  <c r="R7" i="2"/>
  <c r="Q10" i="2"/>
  <c r="O10" i="2"/>
  <c r="O6" i="2" s="1"/>
  <c r="O16" i="2" s="1"/>
  <c r="M10" i="2"/>
  <c r="M6" i="2" s="1"/>
  <c r="M16" i="2" s="1"/>
  <c r="E10" i="2"/>
  <c r="E6" i="2" s="1"/>
  <c r="G11" i="2"/>
  <c r="G16" i="2" s="1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J6" i="2"/>
  <c r="J16" i="2" s="1"/>
  <c r="S9" i="2"/>
  <c r="Q6" i="2"/>
  <c r="P6" i="2"/>
  <c r="P16" i="2" s="1"/>
  <c r="N6" i="2"/>
  <c r="N16" i="2" s="1"/>
  <c r="L6" i="2"/>
  <c r="H6" i="2"/>
  <c r="H16" i="2" s="1"/>
  <c r="G6" i="2"/>
  <c r="F6" i="2"/>
  <c r="D6" i="2"/>
  <c r="D16" i="2" s="1"/>
  <c r="E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U16" i="1"/>
  <c r="D16" i="1"/>
  <c r="T12" i="1"/>
  <c r="E11" i="1"/>
  <c r="F11" i="1"/>
  <c r="F16" i="1" s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U11" i="1"/>
  <c r="D11" i="1"/>
  <c r="T7" i="1"/>
  <c r="U7" i="1"/>
  <c r="U6" i="1" s="1"/>
  <c r="T8" i="1"/>
  <c r="T6" i="1" s="1"/>
  <c r="U8" i="1"/>
  <c r="T9" i="1"/>
  <c r="U9" i="1"/>
  <c r="T10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D6" i="1"/>
  <c r="K9" i="1"/>
  <c r="K10" i="1"/>
  <c r="S10" i="1"/>
  <c r="Q10" i="1"/>
  <c r="U12" i="1"/>
  <c r="U13" i="1"/>
  <c r="U14" i="1"/>
  <c r="U15" i="1"/>
  <c r="J10" i="1"/>
  <c r="T13" i="1"/>
  <c r="T14" i="1"/>
  <c r="T11" i="1" s="1"/>
  <c r="T16" i="1" s="1"/>
  <c r="T15" i="1"/>
  <c r="G14" i="1"/>
  <c r="G15" i="1"/>
  <c r="E10" i="1"/>
  <c r="I10" i="1"/>
  <c r="H10" i="1"/>
  <c r="O10" i="1"/>
  <c r="M10" i="1"/>
  <c r="G11" i="5" l="1"/>
  <c r="G16" i="5" s="1"/>
  <c r="S14" i="5"/>
  <c r="R11" i="5"/>
  <c r="R10" i="5"/>
  <c r="R6" i="5" s="1"/>
  <c r="K10" i="5"/>
  <c r="K6" i="5" s="1"/>
  <c r="K16" i="5" s="1"/>
  <c r="H6" i="5"/>
  <c r="H16" i="5" s="1"/>
  <c r="S9" i="5"/>
  <c r="S15" i="5"/>
  <c r="S11" i="5" s="1"/>
  <c r="G11" i="4"/>
  <c r="G16" i="4" s="1"/>
  <c r="S14" i="4"/>
  <c r="S11" i="4" s="1"/>
  <c r="R11" i="4"/>
  <c r="K6" i="4"/>
  <c r="K16" i="4" s="1"/>
  <c r="R6" i="4"/>
  <c r="S10" i="4"/>
  <c r="S6" i="4" s="1"/>
  <c r="I6" i="4"/>
  <c r="I16" i="4" s="1"/>
  <c r="S11" i="3"/>
  <c r="M16" i="3"/>
  <c r="L16" i="3"/>
  <c r="K6" i="3"/>
  <c r="K16" i="3" s="1"/>
  <c r="J6" i="3"/>
  <c r="J16" i="3" s="1"/>
  <c r="S9" i="3"/>
  <c r="S10" i="3"/>
  <c r="S6" i="3" s="1"/>
  <c r="S16" i="3" s="1"/>
  <c r="G11" i="3"/>
  <c r="G16" i="3" s="1"/>
  <c r="R10" i="3"/>
  <c r="R6" i="3" s="1"/>
  <c r="R16" i="3" s="1"/>
  <c r="E6" i="3"/>
  <c r="E16" i="3" s="1"/>
  <c r="F16" i="2"/>
  <c r="R11" i="2"/>
  <c r="Q16" i="2"/>
  <c r="L16" i="2"/>
  <c r="E16" i="2"/>
  <c r="R6" i="2"/>
  <c r="S11" i="2"/>
  <c r="U10" i="1"/>
  <c r="R16" i="5" l="1"/>
  <c r="I6" i="5"/>
  <c r="I16" i="5" s="1"/>
  <c r="S10" i="5"/>
  <c r="S6" i="5" s="1"/>
  <c r="S16" i="5" s="1"/>
  <c r="S16" i="4"/>
  <c r="R16" i="4"/>
  <c r="R16" i="2"/>
  <c r="K6" i="2"/>
  <c r="K16" i="2" s="1"/>
  <c r="S10" i="2"/>
  <c r="S6" i="2" s="1"/>
  <c r="S16" i="2" s="1"/>
</calcChain>
</file>

<file path=xl/sharedStrings.xml><?xml version="1.0" encoding="utf-8"?>
<sst xmlns="http://schemas.openxmlformats.org/spreadsheetml/2006/main" count="193" uniqueCount="25">
  <si>
    <t>Расшифровка полезного отпуска по электроэнергии ООО "ЯГК" за июнь 2024 г.</t>
  </si>
  <si>
    <t>Потребители</t>
  </si>
  <si>
    <t>№</t>
  </si>
  <si>
    <t>Маят, Молодо</t>
  </si>
  <si>
    <t>Накын</t>
  </si>
  <si>
    <t>Моркока</t>
  </si>
  <si>
    <t>В.-Муна</t>
  </si>
  <si>
    <t>АСБ</t>
  </si>
  <si>
    <t>Кристалл</t>
  </si>
  <si>
    <t>Сентачан</t>
  </si>
  <si>
    <t>Якутское золото</t>
  </si>
  <si>
    <t>тыс.Квтч</t>
  </si>
  <si>
    <t>тыс.руб.</t>
  </si>
  <si>
    <t>Прочие,  в том числе:</t>
  </si>
  <si>
    <t>Договоры купли-продажи</t>
  </si>
  <si>
    <t>ВН</t>
  </si>
  <si>
    <t>СН I</t>
  </si>
  <si>
    <t>СН  II</t>
  </si>
  <si>
    <t>НН</t>
  </si>
  <si>
    <t>Итого</t>
  </si>
  <si>
    <t>тыс.кВтч</t>
  </si>
  <si>
    <t>Расшифровка полезного отпуска по электроэнергии ООО "ЯГК" за июль 2024 г.</t>
  </si>
  <si>
    <t>Расшифровка полезного отпуска по электроэнергии ООО "ЯГК" за август 2024 г.</t>
  </si>
  <si>
    <t>Расшифровка полезного отпуска по электроэнергии ООО "ЯГК" за сентябрь 2024 г.</t>
  </si>
  <si>
    <t>Расшифровка полезного отпуска по электроэнергии ООО "ЯГК" за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</si>
</sst>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" fontId="1" fillId="0" borderId="1" xfId="0" applyNumberFormat="1" applyFont="1" applyBorder="1"/>
    <xf numFmtId="4" fontId="4" fillId="0" borderId="1" xfId="0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6"/>
  <sheetViews>
    <sheetView workbookViewId="0">
      <selection activeCell="I31" sqref="I31"/>
    </sheetView>
  </sheetViews>
  <sheetFormatPr defaultRowHeight="14.25" x14ac:dyDescent="0.2"/>
  <cols>
    <col min="1" max="1" width="3.140625" style="5" customWidth="1"/>
    <col min="2" max="2" width="6.140625" style="5" customWidth="1"/>
    <col min="3" max="3" width="30.140625" style="5" customWidth="1"/>
    <col min="4" max="21" width="12.28515625" style="5" customWidth="1"/>
    <col min="22" max="16384" width="9.140625" style="5"/>
  </cols>
  <sheetData>
    <row r="2" spans="2:21" ht="15" customHeight="1" x14ac:dyDescent="0.2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4" spans="2:21" ht="28.5" customHeight="1" x14ac:dyDescent="0.2">
      <c r="B4" s="2" t="s">
        <v>2</v>
      </c>
      <c r="C4" s="2" t="s">
        <v>1</v>
      </c>
      <c r="D4" s="1" t="s">
        <v>3</v>
      </c>
      <c r="E4" s="1"/>
      <c r="F4" s="1" t="s">
        <v>4</v>
      </c>
      <c r="G4" s="1"/>
      <c r="H4" s="1" t="s">
        <v>5</v>
      </c>
      <c r="I4" s="1"/>
      <c r="J4" s="1" t="s">
        <v>6</v>
      </c>
      <c r="K4" s="1"/>
      <c r="L4" s="1" t="s">
        <v>7</v>
      </c>
      <c r="M4" s="1"/>
      <c r="N4" s="1" t="s">
        <v>8</v>
      </c>
      <c r="O4" s="1"/>
      <c r="P4" s="1" t="s">
        <v>9</v>
      </c>
      <c r="Q4" s="1"/>
      <c r="R4" s="1" t="s">
        <v>10</v>
      </c>
      <c r="S4" s="1"/>
      <c r="T4" s="1" t="s">
        <v>19</v>
      </c>
      <c r="U4" s="1"/>
    </row>
    <row r="5" spans="2:21" s="8" customFormat="1" x14ac:dyDescent="0.2">
      <c r="B5" s="3"/>
      <c r="C5" s="3"/>
      <c r="D5" s="7" t="s">
        <v>11</v>
      </c>
      <c r="E5" s="7" t="s">
        <v>12</v>
      </c>
      <c r="F5" s="7" t="s">
        <v>11</v>
      </c>
      <c r="G5" s="7" t="s">
        <v>12</v>
      </c>
      <c r="H5" s="7" t="s">
        <v>11</v>
      </c>
      <c r="I5" s="7" t="s">
        <v>12</v>
      </c>
      <c r="J5" s="7" t="s">
        <v>11</v>
      </c>
      <c r="K5" s="7" t="s">
        <v>12</v>
      </c>
      <c r="L5" s="7" t="s">
        <v>11</v>
      </c>
      <c r="M5" s="7" t="s">
        <v>12</v>
      </c>
      <c r="N5" s="7" t="s">
        <v>11</v>
      </c>
      <c r="O5" s="7" t="s">
        <v>12</v>
      </c>
      <c r="P5" s="7" t="s">
        <v>11</v>
      </c>
      <c r="Q5" s="7" t="s">
        <v>12</v>
      </c>
      <c r="R5" s="7" t="s">
        <v>11</v>
      </c>
      <c r="S5" s="7" t="s">
        <v>12</v>
      </c>
      <c r="T5" s="7" t="s">
        <v>11</v>
      </c>
      <c r="U5" s="7" t="s">
        <v>12</v>
      </c>
    </row>
    <row r="6" spans="2:21" s="16" customFormat="1" ht="15" x14ac:dyDescent="0.25">
      <c r="B6" s="14">
        <v>1</v>
      </c>
      <c r="C6" s="9" t="s">
        <v>13</v>
      </c>
      <c r="D6" s="13">
        <f>SUM(D7:D10)</f>
        <v>4879.7160000000003</v>
      </c>
      <c r="E6" s="13">
        <f t="shared" ref="E6:U6" si="0">SUM(E7:E10)</f>
        <v>36061.101240000004</v>
      </c>
      <c r="F6" s="13">
        <f t="shared" si="0"/>
        <v>0</v>
      </c>
      <c r="G6" s="13">
        <f t="shared" si="0"/>
        <v>0</v>
      </c>
      <c r="H6" s="13">
        <f t="shared" si="0"/>
        <v>15.18</v>
      </c>
      <c r="I6" s="13">
        <f t="shared" si="0"/>
        <v>124.28943</v>
      </c>
      <c r="J6" s="13">
        <f t="shared" si="0"/>
        <v>429.99399999999997</v>
      </c>
      <c r="K6" s="13">
        <f t="shared" si="0"/>
        <v>2786.10142</v>
      </c>
      <c r="L6" s="13">
        <f t="shared" si="0"/>
        <v>18.699000000000002</v>
      </c>
      <c r="M6" s="13">
        <f t="shared" si="0"/>
        <v>138.18561</v>
      </c>
      <c r="N6" s="13">
        <f t="shared" si="0"/>
        <v>461.66500000000002</v>
      </c>
      <c r="O6" s="13">
        <f t="shared" si="0"/>
        <v>3411.70435</v>
      </c>
      <c r="P6" s="13">
        <f t="shared" si="0"/>
        <v>217.18499999999997</v>
      </c>
      <c r="Q6" s="13">
        <f t="shared" si="0"/>
        <v>3566.1776999999997</v>
      </c>
      <c r="R6" s="13">
        <f t="shared" si="0"/>
        <v>177.499</v>
      </c>
      <c r="S6" s="13">
        <f t="shared" si="0"/>
        <v>2914.5335800000003</v>
      </c>
      <c r="T6" s="13">
        <f>SUM(T7:T10)</f>
        <v>6199.9380000000001</v>
      </c>
      <c r="U6" s="13">
        <f t="shared" si="0"/>
        <v>49002.093330000003</v>
      </c>
    </row>
    <row r="7" spans="2:21" x14ac:dyDescent="0.2">
      <c r="B7" s="4"/>
      <c r="C7" s="10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>
        <f t="shared" ref="T7:T9" si="1">+D7+F7+H7+J7+L7+N7+P7+R7</f>
        <v>0</v>
      </c>
      <c r="U7" s="12">
        <f t="shared" ref="U7:U9" si="2">+E7+G7+I7+K7+M7+O7+Q7+S7</f>
        <v>0</v>
      </c>
    </row>
    <row r="8" spans="2:21" x14ac:dyDescent="0.2">
      <c r="B8" s="4"/>
      <c r="C8" s="10" t="s">
        <v>16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>
        <f t="shared" si="1"/>
        <v>0</v>
      </c>
      <c r="U8" s="12">
        <f t="shared" si="2"/>
        <v>0</v>
      </c>
    </row>
    <row r="9" spans="2:21" x14ac:dyDescent="0.2">
      <c r="B9" s="4"/>
      <c r="C9" s="10" t="s">
        <v>17</v>
      </c>
      <c r="D9" s="12"/>
      <c r="E9" s="12"/>
      <c r="F9" s="12"/>
      <c r="G9" s="12"/>
      <c r="H9" s="12"/>
      <c r="I9" s="12"/>
      <c r="J9" s="12">
        <v>349.60199999999998</v>
      </c>
      <c r="K9" s="12">
        <f>J9*6.27</f>
        <v>2192.0045399999999</v>
      </c>
      <c r="L9" s="12"/>
      <c r="M9" s="12"/>
      <c r="N9" s="12"/>
      <c r="O9" s="12"/>
      <c r="P9" s="12"/>
      <c r="Q9" s="12"/>
      <c r="R9" s="12"/>
      <c r="S9" s="12"/>
      <c r="T9" s="12">
        <f t="shared" si="1"/>
        <v>349.60199999999998</v>
      </c>
      <c r="U9" s="12">
        <f t="shared" si="2"/>
        <v>2192.0045399999999</v>
      </c>
    </row>
    <row r="10" spans="2:21" x14ac:dyDescent="0.2">
      <c r="B10" s="4"/>
      <c r="C10" s="10" t="s">
        <v>18</v>
      </c>
      <c r="D10" s="12">
        <v>4879.7160000000003</v>
      </c>
      <c r="E10" s="12">
        <f>D10*7.39</f>
        <v>36061.101240000004</v>
      </c>
      <c r="F10" s="12"/>
      <c r="G10" s="12"/>
      <c r="H10" s="12">
        <f>13.839+1.341</f>
        <v>15.18</v>
      </c>
      <c r="I10" s="12">
        <f>(H10-1.341)*7.39+1.341*16.42</f>
        <v>124.28943</v>
      </c>
      <c r="J10" s="12">
        <f>78.23+2.162</f>
        <v>80.39200000000001</v>
      </c>
      <c r="K10" s="12">
        <f>J10*7.39</f>
        <v>594.09688000000006</v>
      </c>
      <c r="L10" s="12">
        <v>18.699000000000002</v>
      </c>
      <c r="M10" s="12">
        <f>L10*7.39</f>
        <v>138.18561</v>
      </c>
      <c r="N10" s="12">
        <v>461.66500000000002</v>
      </c>
      <c r="O10" s="12">
        <f>N10*7.39</f>
        <v>3411.70435</v>
      </c>
      <c r="P10" s="12">
        <v>217.18499999999997</v>
      </c>
      <c r="Q10" s="12">
        <f>P10*16.42</f>
        <v>3566.1776999999997</v>
      </c>
      <c r="R10" s="12">
        <v>177.499</v>
      </c>
      <c r="S10" s="12">
        <f>R10*16.42</f>
        <v>2914.5335800000003</v>
      </c>
      <c r="T10" s="12">
        <f>+D10+F10+H10+J10+L10+N10+P10+R10</f>
        <v>5850.3360000000002</v>
      </c>
      <c r="U10" s="12">
        <f>+E10+G10+I10+K10+M10+O10+Q10+S10</f>
        <v>46810.088790000002</v>
      </c>
    </row>
    <row r="11" spans="2:21" s="16" customFormat="1" ht="15" x14ac:dyDescent="0.25">
      <c r="B11" s="14">
        <v>2</v>
      </c>
      <c r="C11" s="9" t="s">
        <v>14</v>
      </c>
      <c r="D11" s="13">
        <f>SUM(D12:D15)</f>
        <v>0</v>
      </c>
      <c r="E11" s="13">
        <f t="shared" ref="E11:U11" si="3">SUM(E12:E15)</f>
        <v>0</v>
      </c>
      <c r="F11" s="13">
        <f t="shared" si="3"/>
        <v>4655.1550000000007</v>
      </c>
      <c r="G11" s="13">
        <f t="shared" si="3"/>
        <v>195516.8786</v>
      </c>
      <c r="H11" s="13">
        <f t="shared" si="3"/>
        <v>0</v>
      </c>
      <c r="I11" s="13">
        <f t="shared" si="3"/>
        <v>0</v>
      </c>
      <c r="J11" s="13">
        <f t="shared" si="3"/>
        <v>0</v>
      </c>
      <c r="K11" s="13">
        <f t="shared" si="3"/>
        <v>0</v>
      </c>
      <c r="L11" s="13">
        <f t="shared" si="3"/>
        <v>0</v>
      </c>
      <c r="M11" s="13">
        <f t="shared" si="3"/>
        <v>0</v>
      </c>
      <c r="N11" s="13">
        <f t="shared" si="3"/>
        <v>0</v>
      </c>
      <c r="O11" s="13">
        <f t="shared" si="3"/>
        <v>0</v>
      </c>
      <c r="P11" s="13">
        <f t="shared" si="3"/>
        <v>0</v>
      </c>
      <c r="Q11" s="13">
        <f t="shared" si="3"/>
        <v>0</v>
      </c>
      <c r="R11" s="13">
        <f t="shared" si="3"/>
        <v>0</v>
      </c>
      <c r="S11" s="13">
        <f t="shared" si="3"/>
        <v>0</v>
      </c>
      <c r="T11" s="13">
        <f t="shared" si="3"/>
        <v>4655.1550000000007</v>
      </c>
      <c r="U11" s="13">
        <f t="shared" si="3"/>
        <v>195516.8786</v>
      </c>
    </row>
    <row r="12" spans="2:21" x14ac:dyDescent="0.2">
      <c r="B12" s="6"/>
      <c r="C12" s="6" t="s">
        <v>15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f>+D12+F12+H12+J12+L12+N12+P12+R12</f>
        <v>0</v>
      </c>
      <c r="U12" s="12">
        <f t="shared" ref="T11:U15" si="4">+E12+G12+I12+K12+M12+O12+Q12+S12</f>
        <v>0</v>
      </c>
    </row>
    <row r="13" spans="2:21" x14ac:dyDescent="0.2">
      <c r="B13" s="6"/>
      <c r="C13" s="6" t="s">
        <v>16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f t="shared" si="4"/>
        <v>0</v>
      </c>
      <c r="U13" s="12">
        <f t="shared" si="4"/>
        <v>0</v>
      </c>
    </row>
    <row r="14" spans="2:21" x14ac:dyDescent="0.2">
      <c r="B14" s="6"/>
      <c r="C14" s="6" t="s">
        <v>17</v>
      </c>
      <c r="D14" s="12"/>
      <c r="E14" s="12"/>
      <c r="F14" s="12">
        <v>4636.7250000000004</v>
      </c>
      <c r="G14" s="12">
        <f>192795.0255+1947.4245</f>
        <v>194742.44999999998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f t="shared" si="4"/>
        <v>4636.7250000000004</v>
      </c>
      <c r="U14" s="12">
        <f t="shared" si="4"/>
        <v>194742.44999999998</v>
      </c>
    </row>
    <row r="15" spans="2:21" x14ac:dyDescent="0.2">
      <c r="B15" s="6"/>
      <c r="C15" s="6" t="s">
        <v>18</v>
      </c>
      <c r="D15" s="12"/>
      <c r="E15" s="12"/>
      <c r="F15" s="12">
        <v>18.43</v>
      </c>
      <c r="G15" s="12">
        <f>766.3194+8.1092</f>
        <v>774.42859999999996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f t="shared" si="4"/>
        <v>18.43</v>
      </c>
      <c r="U15" s="12">
        <f t="shared" si="4"/>
        <v>774.42859999999996</v>
      </c>
    </row>
    <row r="16" spans="2:21" s="16" customFormat="1" ht="15" x14ac:dyDescent="0.25">
      <c r="B16" s="14">
        <v>3</v>
      </c>
      <c r="C16" s="15" t="s">
        <v>19</v>
      </c>
      <c r="D16" s="13">
        <f>+D6+D11</f>
        <v>4879.7160000000003</v>
      </c>
      <c r="E16" s="13">
        <f t="shared" ref="E16:U16" si="5">+E6+E11</f>
        <v>36061.101240000004</v>
      </c>
      <c r="F16" s="13">
        <f t="shared" si="5"/>
        <v>4655.1550000000007</v>
      </c>
      <c r="G16" s="13">
        <f t="shared" si="5"/>
        <v>195516.8786</v>
      </c>
      <c r="H16" s="13">
        <f t="shared" si="5"/>
        <v>15.18</v>
      </c>
      <c r="I16" s="13">
        <f t="shared" si="5"/>
        <v>124.28943</v>
      </c>
      <c r="J16" s="13">
        <f t="shared" si="5"/>
        <v>429.99399999999997</v>
      </c>
      <c r="K16" s="13">
        <f t="shared" si="5"/>
        <v>2786.10142</v>
      </c>
      <c r="L16" s="13">
        <f t="shared" si="5"/>
        <v>18.699000000000002</v>
      </c>
      <c r="M16" s="13">
        <f t="shared" si="5"/>
        <v>138.18561</v>
      </c>
      <c r="N16" s="13">
        <f t="shared" si="5"/>
        <v>461.66500000000002</v>
      </c>
      <c r="O16" s="13">
        <f t="shared" si="5"/>
        <v>3411.70435</v>
      </c>
      <c r="P16" s="13">
        <f t="shared" si="5"/>
        <v>217.18499999999997</v>
      </c>
      <c r="Q16" s="13">
        <f t="shared" si="5"/>
        <v>3566.1776999999997</v>
      </c>
      <c r="R16" s="13">
        <f t="shared" si="5"/>
        <v>177.499</v>
      </c>
      <c r="S16" s="13">
        <f t="shared" si="5"/>
        <v>2914.5335800000003</v>
      </c>
      <c r="T16" s="13">
        <f t="shared" si="5"/>
        <v>10855.093000000001</v>
      </c>
      <c r="U16" s="13">
        <f t="shared" si="5"/>
        <v>244518.97193</v>
      </c>
    </row>
  </sheetData>
  <mergeCells count="12">
    <mergeCell ref="B4:B5"/>
    <mergeCell ref="C4:C5"/>
    <mergeCell ref="P4:Q4"/>
    <mergeCell ref="R4:S4"/>
    <mergeCell ref="T4:U4"/>
    <mergeCell ref="B2:U2"/>
    <mergeCell ref="N4:O4"/>
    <mergeCell ref="L4:M4"/>
    <mergeCell ref="J4:K4"/>
    <mergeCell ref="H4:I4"/>
    <mergeCell ref="F4:G4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0155-81B5-4D39-836D-A05AD4529C6A}">
  <dimension ref="B2:S16"/>
  <sheetViews>
    <sheetView workbookViewId="0">
      <selection activeCell="B3" sqref="B3"/>
    </sheetView>
  </sheetViews>
  <sheetFormatPr defaultRowHeight="14.25" x14ac:dyDescent="0.2"/>
  <cols>
    <col min="1" max="1" width="3.140625" style="5" customWidth="1"/>
    <col min="2" max="2" width="6.140625" style="5" customWidth="1"/>
    <col min="3" max="3" width="30.140625" style="5" customWidth="1"/>
    <col min="4" max="19" width="12.28515625" style="5" customWidth="1"/>
    <col min="20" max="16384" width="9.140625" style="5"/>
  </cols>
  <sheetData>
    <row r="2" spans="2:19" ht="15" customHeight="1" x14ac:dyDescent="0.2">
      <c r="B2" s="11" t="s">
        <v>21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4" spans="2:19" ht="28.5" customHeight="1" x14ac:dyDescent="0.2">
      <c r="B4" s="2" t="s">
        <v>2</v>
      </c>
      <c r="C4" s="2" t="s">
        <v>1</v>
      </c>
      <c r="D4" s="1" t="s">
        <v>3</v>
      </c>
      <c r="E4" s="1"/>
      <c r="F4" s="1" t="s">
        <v>4</v>
      </c>
      <c r="G4" s="1"/>
      <c r="H4" s="1" t="s">
        <v>5</v>
      </c>
      <c r="I4" s="1"/>
      <c r="J4" s="1" t="s">
        <v>6</v>
      </c>
      <c r="K4" s="1"/>
      <c r="L4" s="1" t="s">
        <v>7</v>
      </c>
      <c r="M4" s="1"/>
      <c r="N4" s="1" t="s">
        <v>8</v>
      </c>
      <c r="O4" s="1"/>
      <c r="P4" s="1" t="s">
        <v>9</v>
      </c>
      <c r="Q4" s="1"/>
      <c r="R4" s="1" t="s">
        <v>19</v>
      </c>
      <c r="S4" s="1"/>
    </row>
    <row r="5" spans="2:19" s="8" customFormat="1" x14ac:dyDescent="0.2">
      <c r="B5" s="3"/>
      <c r="C5" s="3"/>
      <c r="D5" s="7" t="s">
        <v>11</v>
      </c>
      <c r="E5" s="7" t="s">
        <v>12</v>
      </c>
      <c r="F5" s="7" t="s">
        <v>11</v>
      </c>
      <c r="G5" s="7" t="s">
        <v>12</v>
      </c>
      <c r="H5" s="7" t="s">
        <v>11</v>
      </c>
      <c r="I5" s="7" t="s">
        <v>12</v>
      </c>
      <c r="J5" s="7" t="s">
        <v>11</v>
      </c>
      <c r="K5" s="7" t="s">
        <v>12</v>
      </c>
      <c r="L5" s="7" t="s">
        <v>11</v>
      </c>
      <c r="M5" s="7" t="s">
        <v>12</v>
      </c>
      <c r="N5" s="7" t="s">
        <v>11</v>
      </c>
      <c r="O5" s="7" t="s">
        <v>12</v>
      </c>
      <c r="P5" s="7" t="s">
        <v>11</v>
      </c>
      <c r="Q5" s="7" t="s">
        <v>12</v>
      </c>
      <c r="R5" s="7" t="s">
        <v>11</v>
      </c>
      <c r="S5" s="7" t="s">
        <v>12</v>
      </c>
    </row>
    <row r="6" spans="2:19" s="16" customFormat="1" ht="15" x14ac:dyDescent="0.25">
      <c r="B6" s="14">
        <v>1</v>
      </c>
      <c r="C6" s="9" t="s">
        <v>13</v>
      </c>
      <c r="D6" s="13">
        <f>SUM(D7:D10)</f>
        <v>5133.4769999999999</v>
      </c>
      <c r="E6" s="13">
        <f t="shared" ref="E6:S6" si="0">SUM(E7:E10)</f>
        <v>44301.906510000001</v>
      </c>
      <c r="F6" s="13">
        <f t="shared" si="0"/>
        <v>0</v>
      </c>
      <c r="G6" s="13">
        <f t="shared" si="0"/>
        <v>0</v>
      </c>
      <c r="H6" s="13">
        <f t="shared" si="0"/>
        <v>16.573</v>
      </c>
      <c r="I6" s="13">
        <f t="shared" si="0"/>
        <v>184.95674</v>
      </c>
      <c r="J6" s="13">
        <f t="shared" si="0"/>
        <v>451.35699999999997</v>
      </c>
      <c r="K6" s="13">
        <f t="shared" si="0"/>
        <v>3435.1865900000003</v>
      </c>
      <c r="L6" s="13">
        <f t="shared" si="0"/>
        <v>7.0019999999999998</v>
      </c>
      <c r="M6" s="13">
        <f t="shared" si="0"/>
        <v>60.427260000000004</v>
      </c>
      <c r="N6" s="13">
        <f t="shared" si="0"/>
        <v>442.41399999999999</v>
      </c>
      <c r="O6" s="13">
        <f t="shared" si="0"/>
        <v>3818.0328200000004</v>
      </c>
      <c r="P6" s="13">
        <f t="shared" si="0"/>
        <v>208.29000000000036</v>
      </c>
      <c r="Q6" s="13">
        <f t="shared" si="0"/>
        <v>10285.360200000019</v>
      </c>
      <c r="R6" s="13">
        <f>SUM(R7:R10)</f>
        <v>6259.1130000000003</v>
      </c>
      <c r="S6" s="13">
        <f t="shared" si="0"/>
        <v>62085.870120000014</v>
      </c>
    </row>
    <row r="7" spans="2:19" x14ac:dyDescent="0.2">
      <c r="B7" s="4"/>
      <c r="C7" s="10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>+D7+F7+H7+J7+L7+N7+P7</f>
        <v>0</v>
      </c>
      <c r="S7" s="12">
        <f>+E7+G7+I7+K7+M7+O7+Q7</f>
        <v>0</v>
      </c>
    </row>
    <row r="8" spans="2:19" x14ac:dyDescent="0.2">
      <c r="B8" s="4"/>
      <c r="C8" s="10" t="s">
        <v>16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ref="R8:R10" si="1">+D8+F8+H8+J8+L8+N8+P8</f>
        <v>0</v>
      </c>
      <c r="S8" s="12">
        <f t="shared" ref="S8:S10" si="2">+E8+G8+I8+K8+M8+O8+Q8</f>
        <v>0</v>
      </c>
    </row>
    <row r="9" spans="2:19" x14ac:dyDescent="0.2">
      <c r="B9" s="4"/>
      <c r="C9" s="10" t="s">
        <v>17</v>
      </c>
      <c r="D9" s="12"/>
      <c r="E9" s="12"/>
      <c r="F9" s="12"/>
      <c r="G9" s="12"/>
      <c r="H9" s="12"/>
      <c r="I9" s="12"/>
      <c r="J9" s="12">
        <v>356.608</v>
      </c>
      <c r="K9" s="12">
        <f>J9*7.34</f>
        <v>2617.50272</v>
      </c>
      <c r="L9" s="12"/>
      <c r="M9" s="12"/>
      <c r="N9" s="12"/>
      <c r="O9" s="12"/>
      <c r="P9" s="12"/>
      <c r="Q9" s="12"/>
      <c r="R9" s="12">
        <f t="shared" si="1"/>
        <v>356.608</v>
      </c>
      <c r="S9" s="12">
        <f t="shared" si="2"/>
        <v>2617.50272</v>
      </c>
    </row>
    <row r="10" spans="2:19" x14ac:dyDescent="0.2">
      <c r="B10" s="4"/>
      <c r="C10" s="10" t="s">
        <v>18</v>
      </c>
      <c r="D10" s="12">
        <v>5133.4769999999999</v>
      </c>
      <c r="E10" s="12">
        <f>D10*8.63</f>
        <v>44301.906510000001</v>
      </c>
      <c r="F10" s="12"/>
      <c r="G10" s="12"/>
      <c r="H10" s="12">
        <f>15.544+1.029</f>
        <v>16.573</v>
      </c>
      <c r="I10" s="12">
        <f>(H10-1.029)*8.63+1.029*49.38</f>
        <v>184.95674</v>
      </c>
      <c r="J10" s="12">
        <v>94.748999999999995</v>
      </c>
      <c r="K10" s="12">
        <f>J10*8.63</f>
        <v>817.68387000000007</v>
      </c>
      <c r="L10" s="12">
        <v>7.0019999999999998</v>
      </c>
      <c r="M10" s="12">
        <f>L10*8.63</f>
        <v>60.427260000000004</v>
      </c>
      <c r="N10" s="12">
        <v>442.41399999999999</v>
      </c>
      <c r="O10" s="12">
        <f>N10*8.63</f>
        <v>3818.0328200000004</v>
      </c>
      <c r="P10" s="12">
        <v>208.29000000000036</v>
      </c>
      <c r="Q10" s="12">
        <f>P10*49.38</f>
        <v>10285.360200000019</v>
      </c>
      <c r="R10" s="12">
        <f t="shared" si="1"/>
        <v>5902.5050000000001</v>
      </c>
      <c r="S10" s="12">
        <f t="shared" si="2"/>
        <v>59468.367400000017</v>
      </c>
    </row>
    <row r="11" spans="2:19" s="16" customFormat="1" ht="15" x14ac:dyDescent="0.25">
      <c r="B11" s="14">
        <v>2</v>
      </c>
      <c r="C11" s="9" t="s">
        <v>14</v>
      </c>
      <c r="D11" s="13">
        <f>SUM(D12:D15)</f>
        <v>0</v>
      </c>
      <c r="E11" s="13">
        <f t="shared" ref="E11:S11" si="3">SUM(E12:E15)</f>
        <v>0</v>
      </c>
      <c r="F11" s="13">
        <f t="shared" si="3"/>
        <v>4354.0509999999995</v>
      </c>
      <c r="G11" s="13">
        <f t="shared" si="3"/>
        <v>182870.36439999999</v>
      </c>
      <c r="H11" s="13">
        <f t="shared" si="3"/>
        <v>0</v>
      </c>
      <c r="I11" s="13">
        <f t="shared" si="3"/>
        <v>0</v>
      </c>
      <c r="J11" s="13">
        <f t="shared" si="3"/>
        <v>0</v>
      </c>
      <c r="K11" s="13">
        <f t="shared" si="3"/>
        <v>0</v>
      </c>
      <c r="L11" s="13">
        <f t="shared" si="3"/>
        <v>0</v>
      </c>
      <c r="M11" s="13">
        <f t="shared" si="3"/>
        <v>0</v>
      </c>
      <c r="N11" s="13">
        <f t="shared" si="3"/>
        <v>0</v>
      </c>
      <c r="O11" s="13">
        <f t="shared" si="3"/>
        <v>0</v>
      </c>
      <c r="P11" s="13">
        <f t="shared" si="3"/>
        <v>0</v>
      </c>
      <c r="Q11" s="13">
        <f t="shared" si="3"/>
        <v>0</v>
      </c>
      <c r="R11" s="13">
        <f t="shared" si="3"/>
        <v>4354.0509999999995</v>
      </c>
      <c r="S11" s="13">
        <f t="shared" si="3"/>
        <v>182870.36439999999</v>
      </c>
    </row>
    <row r="12" spans="2:19" x14ac:dyDescent="0.2">
      <c r="B12" s="6"/>
      <c r="C12" s="6" t="s">
        <v>15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R15" si="4">+D12+F12+H12+J12+L12+N12+P12</f>
        <v>0</v>
      </c>
      <c r="S12" s="12">
        <f t="shared" ref="S12:S15" si="5">+E12+G12+I12+K12+M12+O12+Q12</f>
        <v>0</v>
      </c>
    </row>
    <row r="13" spans="2:19" x14ac:dyDescent="0.2">
      <c r="B13" s="6"/>
      <c r="C13" s="6" t="s">
        <v>16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4"/>
        <v>0</v>
      </c>
      <c r="S13" s="12">
        <f t="shared" si="5"/>
        <v>0</v>
      </c>
    </row>
    <row r="14" spans="2:19" x14ac:dyDescent="0.2">
      <c r="B14" s="6"/>
      <c r="C14" s="6" t="s">
        <v>17</v>
      </c>
      <c r="D14" s="12"/>
      <c r="E14" s="12"/>
      <c r="F14" s="12">
        <v>4342.9309999999996</v>
      </c>
      <c r="G14" s="12">
        <f>180579.07098+1824.03102</f>
        <v>182403.10199999998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4"/>
        <v>4342.9309999999996</v>
      </c>
      <c r="S14" s="12">
        <f t="shared" si="5"/>
        <v>182403.10199999998</v>
      </c>
    </row>
    <row r="15" spans="2:19" x14ac:dyDescent="0.2">
      <c r="B15" s="6"/>
      <c r="C15" s="6" t="s">
        <v>18</v>
      </c>
      <c r="D15" s="12"/>
      <c r="E15" s="12"/>
      <c r="F15" s="12">
        <v>11.12</v>
      </c>
      <c r="G15" s="12">
        <f>462.3696+4.8928</f>
        <v>467.26240000000001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4"/>
        <v>11.12</v>
      </c>
      <c r="S15" s="12">
        <f t="shared" si="5"/>
        <v>467.26240000000001</v>
      </c>
    </row>
    <row r="16" spans="2:19" s="16" customFormat="1" ht="15" x14ac:dyDescent="0.25">
      <c r="B16" s="14">
        <v>3</v>
      </c>
      <c r="C16" s="15" t="s">
        <v>19</v>
      </c>
      <c r="D16" s="13">
        <f>+D6+D11</f>
        <v>5133.4769999999999</v>
      </c>
      <c r="E16" s="13">
        <f t="shared" ref="E16:S16" si="6">+E6+E11</f>
        <v>44301.906510000001</v>
      </c>
      <c r="F16" s="13">
        <f t="shared" si="6"/>
        <v>4354.0509999999995</v>
      </c>
      <c r="G16" s="13">
        <f t="shared" si="6"/>
        <v>182870.36439999999</v>
      </c>
      <c r="H16" s="13">
        <f t="shared" si="6"/>
        <v>16.573</v>
      </c>
      <c r="I16" s="13">
        <f t="shared" si="6"/>
        <v>184.95674</v>
      </c>
      <c r="J16" s="13">
        <f t="shared" si="6"/>
        <v>451.35699999999997</v>
      </c>
      <c r="K16" s="13">
        <f t="shared" si="6"/>
        <v>3435.1865900000003</v>
      </c>
      <c r="L16" s="13">
        <f t="shared" si="6"/>
        <v>7.0019999999999998</v>
      </c>
      <c r="M16" s="13">
        <f t="shared" si="6"/>
        <v>60.427260000000004</v>
      </c>
      <c r="N16" s="13">
        <f t="shared" si="6"/>
        <v>442.41399999999999</v>
      </c>
      <c r="O16" s="13">
        <f t="shared" si="6"/>
        <v>3818.0328200000004</v>
      </c>
      <c r="P16" s="13">
        <f t="shared" si="6"/>
        <v>208.29000000000036</v>
      </c>
      <c r="Q16" s="13">
        <f t="shared" si="6"/>
        <v>10285.360200000019</v>
      </c>
      <c r="R16" s="13">
        <f t="shared" si="6"/>
        <v>10613.164000000001</v>
      </c>
      <c r="S16" s="13">
        <f t="shared" si="6"/>
        <v>244956.23452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9A9C-A03F-4182-A735-C86790216AD4}">
  <dimension ref="B2:S16"/>
  <sheetViews>
    <sheetView workbookViewId="0">
      <selection activeCell="B3" sqref="B3"/>
    </sheetView>
  </sheetViews>
  <sheetFormatPr defaultRowHeight="14.25" x14ac:dyDescent="0.2"/>
  <cols>
    <col min="1" max="1" width="3.140625" style="5" customWidth="1"/>
    <col min="2" max="2" width="6.140625" style="5" customWidth="1"/>
    <col min="3" max="3" width="30.140625" style="5" customWidth="1"/>
    <col min="4" max="19" width="12.28515625" style="5" customWidth="1"/>
    <col min="20" max="16384" width="9.140625" style="5"/>
  </cols>
  <sheetData>
    <row r="2" spans="2:19" ht="15" customHeight="1" x14ac:dyDescent="0.2">
      <c r="B2" s="11" t="s">
        <v>22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4" spans="2:19" ht="28.5" customHeight="1" x14ac:dyDescent="0.2">
      <c r="B4" s="2" t="s">
        <v>2</v>
      </c>
      <c r="C4" s="2" t="s">
        <v>1</v>
      </c>
      <c r="D4" s="1" t="s">
        <v>3</v>
      </c>
      <c r="E4" s="1"/>
      <c r="F4" s="1" t="s">
        <v>4</v>
      </c>
      <c r="G4" s="1"/>
      <c r="H4" s="1" t="s">
        <v>5</v>
      </c>
      <c r="I4" s="1"/>
      <c r="J4" s="1" t="s">
        <v>6</v>
      </c>
      <c r="K4" s="1"/>
      <c r="L4" s="1" t="s">
        <v>7</v>
      </c>
      <c r="M4" s="1"/>
      <c r="N4" s="1" t="s">
        <v>8</v>
      </c>
      <c r="O4" s="1"/>
      <c r="P4" s="1" t="s">
        <v>9</v>
      </c>
      <c r="Q4" s="1"/>
      <c r="R4" s="1" t="s">
        <v>19</v>
      </c>
      <c r="S4" s="1"/>
    </row>
    <row r="5" spans="2:19" s="8" customFormat="1" x14ac:dyDescent="0.2">
      <c r="B5" s="3"/>
      <c r="C5" s="3"/>
      <c r="D5" s="7" t="s">
        <v>20</v>
      </c>
      <c r="E5" s="7" t="s">
        <v>12</v>
      </c>
      <c r="F5" s="7" t="s">
        <v>20</v>
      </c>
      <c r="G5" s="7" t="s">
        <v>12</v>
      </c>
      <c r="H5" s="7" t="s">
        <v>20</v>
      </c>
      <c r="I5" s="7" t="s">
        <v>12</v>
      </c>
      <c r="J5" s="7" t="s">
        <v>20</v>
      </c>
      <c r="K5" s="7" t="s">
        <v>12</v>
      </c>
      <c r="L5" s="7" t="s">
        <v>20</v>
      </c>
      <c r="M5" s="7" t="s">
        <v>12</v>
      </c>
      <c r="N5" s="7" t="s">
        <v>20</v>
      </c>
      <c r="O5" s="7" t="s">
        <v>12</v>
      </c>
      <c r="P5" s="7" t="s">
        <v>20</v>
      </c>
      <c r="Q5" s="7" t="s">
        <v>12</v>
      </c>
      <c r="R5" s="7" t="s">
        <v>20</v>
      </c>
      <c r="S5" s="7" t="s">
        <v>12</v>
      </c>
    </row>
    <row r="6" spans="2:19" s="16" customFormat="1" ht="15" x14ac:dyDescent="0.25">
      <c r="B6" s="14">
        <v>1</v>
      </c>
      <c r="C6" s="9" t="s">
        <v>13</v>
      </c>
      <c r="D6" s="13">
        <f>SUM(D7:D10)</f>
        <v>5513.19</v>
      </c>
      <c r="E6" s="13">
        <f t="shared" ref="E6:S6" si="0">SUM(E7:E10)</f>
        <v>47578.829700000002</v>
      </c>
      <c r="F6" s="13">
        <f t="shared" si="0"/>
        <v>0</v>
      </c>
      <c r="G6" s="13">
        <f t="shared" si="0"/>
        <v>0</v>
      </c>
      <c r="H6" s="13">
        <f t="shared" si="0"/>
        <v>18.153000000000002</v>
      </c>
      <c r="I6" s="13">
        <f t="shared" si="0"/>
        <v>195.53589000000002</v>
      </c>
      <c r="J6" s="13">
        <f t="shared" si="0"/>
        <v>497.71600000000001</v>
      </c>
      <c r="K6" s="13">
        <f t="shared" si="0"/>
        <v>3783.5576899999996</v>
      </c>
      <c r="L6" s="13">
        <f t="shared" si="0"/>
        <v>12.496</v>
      </c>
      <c r="M6" s="13">
        <f t="shared" si="0"/>
        <v>107.84048000000001</v>
      </c>
      <c r="N6" s="13">
        <f t="shared" si="0"/>
        <v>485.57100000000003</v>
      </c>
      <c r="O6" s="13">
        <f t="shared" si="0"/>
        <v>4190.4777300000005</v>
      </c>
      <c r="P6" s="13">
        <f t="shared" si="0"/>
        <v>222.822</v>
      </c>
      <c r="Q6" s="13">
        <f t="shared" si="0"/>
        <v>11002.950360000001</v>
      </c>
      <c r="R6" s="13">
        <f>SUM(R7:R10)</f>
        <v>6749.9479999999994</v>
      </c>
      <c r="S6" s="13">
        <f t="shared" si="0"/>
        <v>66859.191850000003</v>
      </c>
    </row>
    <row r="7" spans="2:19" x14ac:dyDescent="0.2">
      <c r="B7" s="4"/>
      <c r="C7" s="10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>+D7+F7+H7+J7+L7+N7+P7</f>
        <v>0</v>
      </c>
      <c r="S7" s="12">
        <f>+E7+G7+I7+K7+M7+O7+Q7</f>
        <v>0</v>
      </c>
    </row>
    <row r="8" spans="2:19" x14ac:dyDescent="0.2">
      <c r="B8" s="4"/>
      <c r="C8" s="10" t="s">
        <v>16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ref="R8:S10" si="1">+D8+F8+H8+J8+L8+N8+P8</f>
        <v>0</v>
      </c>
      <c r="S8" s="12">
        <f t="shared" si="1"/>
        <v>0</v>
      </c>
    </row>
    <row r="9" spans="2:19" x14ac:dyDescent="0.2">
      <c r="B9" s="4"/>
      <c r="C9" s="10" t="s">
        <v>17</v>
      </c>
      <c r="D9" s="12"/>
      <c r="E9" s="12"/>
      <c r="F9" s="12"/>
      <c r="G9" s="12"/>
      <c r="H9" s="12"/>
      <c r="I9" s="12"/>
      <c r="J9" s="12">
        <v>396.69099999999997</v>
      </c>
      <c r="K9" s="12">
        <f>J9*7.34</f>
        <v>2911.7119399999997</v>
      </c>
      <c r="L9" s="12"/>
      <c r="M9" s="12"/>
      <c r="N9" s="12"/>
      <c r="O9" s="12"/>
      <c r="P9" s="12"/>
      <c r="Q9" s="12"/>
      <c r="R9" s="12">
        <f t="shared" si="1"/>
        <v>396.69099999999997</v>
      </c>
      <c r="S9" s="12">
        <f t="shared" si="1"/>
        <v>2911.7119399999997</v>
      </c>
    </row>
    <row r="10" spans="2:19" x14ac:dyDescent="0.2">
      <c r="B10" s="4"/>
      <c r="C10" s="10" t="s">
        <v>18</v>
      </c>
      <c r="D10" s="12">
        <v>5513.19</v>
      </c>
      <c r="E10" s="12">
        <f>D10*8.63</f>
        <v>47578.829700000002</v>
      </c>
      <c r="F10" s="12"/>
      <c r="G10" s="12"/>
      <c r="H10" s="12">
        <f>17.199+0.954</f>
        <v>18.153000000000002</v>
      </c>
      <c r="I10" s="12">
        <f>(H10-0.954)*8.63+0.954*49.38</f>
        <v>195.53589000000002</v>
      </c>
      <c r="J10" s="12">
        <f>98.218+2.807</f>
        <v>101.02500000000001</v>
      </c>
      <c r="K10" s="12">
        <f>J10*8.63</f>
        <v>871.84575000000018</v>
      </c>
      <c r="L10" s="12">
        <v>12.496</v>
      </c>
      <c r="M10" s="12">
        <f>L10*8.63</f>
        <v>107.84048000000001</v>
      </c>
      <c r="N10" s="12">
        <v>485.57100000000003</v>
      </c>
      <c r="O10" s="12">
        <f>N10*8.63</f>
        <v>4190.4777300000005</v>
      </c>
      <c r="P10" s="12">
        <v>222.822</v>
      </c>
      <c r="Q10" s="12">
        <f>P10*49.38</f>
        <v>11002.950360000001</v>
      </c>
      <c r="R10" s="12">
        <f t="shared" si="1"/>
        <v>6353.2569999999996</v>
      </c>
      <c r="S10" s="12">
        <f t="shared" si="1"/>
        <v>63947.479910000002</v>
      </c>
    </row>
    <row r="11" spans="2:19" s="16" customFormat="1" ht="15" x14ac:dyDescent="0.25">
      <c r="B11" s="14">
        <v>2</v>
      </c>
      <c r="C11" s="9" t="s">
        <v>14</v>
      </c>
      <c r="D11" s="13">
        <f>SUM(D12:D15)</f>
        <v>0</v>
      </c>
      <c r="E11" s="13">
        <f t="shared" ref="E11:S11" si="2">SUM(E12:E15)</f>
        <v>0</v>
      </c>
      <c r="F11" s="13">
        <f t="shared" si="2"/>
        <v>4944.393</v>
      </c>
      <c r="G11" s="13">
        <f t="shared" si="2"/>
        <v>207664.84879999998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4944.393</v>
      </c>
      <c r="S11" s="13">
        <f t="shared" si="2"/>
        <v>207664.84879999998</v>
      </c>
    </row>
    <row r="12" spans="2:19" x14ac:dyDescent="0.2">
      <c r="B12" s="6"/>
      <c r="C12" s="6" t="s">
        <v>15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S15" si="3">+D12+F12+H12+J12+L12+N12+P12</f>
        <v>0</v>
      </c>
      <c r="S12" s="12">
        <f t="shared" si="3"/>
        <v>0</v>
      </c>
    </row>
    <row r="13" spans="2:19" x14ac:dyDescent="0.2">
      <c r="B13" s="6"/>
      <c r="C13" s="6" t="s">
        <v>16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3"/>
        <v>0</v>
      </c>
      <c r="S13" s="12">
        <f t="shared" si="3"/>
        <v>0</v>
      </c>
    </row>
    <row r="14" spans="2:19" x14ac:dyDescent="0.2">
      <c r="B14" s="6"/>
      <c r="C14" s="6" t="s">
        <v>17</v>
      </c>
      <c r="D14" s="12"/>
      <c r="E14" s="12"/>
      <c r="F14" s="12">
        <v>4927.2529999999997</v>
      </c>
      <c r="G14" s="12">
        <f>204875.17974+2069.44626</f>
        <v>206944.62599999999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3"/>
        <v>4927.2529999999997</v>
      </c>
      <c r="S14" s="12">
        <f t="shared" si="3"/>
        <v>206944.62599999999</v>
      </c>
    </row>
    <row r="15" spans="2:19" x14ac:dyDescent="0.2">
      <c r="B15" s="6"/>
      <c r="C15" s="6" t="s">
        <v>18</v>
      </c>
      <c r="D15" s="12"/>
      <c r="E15" s="12"/>
      <c r="F15" s="12">
        <v>17.14</v>
      </c>
      <c r="G15" s="12">
        <f>712.6812+7.5416</f>
        <v>720.22280000000001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3"/>
        <v>17.14</v>
      </c>
      <c r="S15" s="12">
        <f t="shared" si="3"/>
        <v>720.22280000000001</v>
      </c>
    </row>
    <row r="16" spans="2:19" s="16" customFormat="1" ht="15" x14ac:dyDescent="0.25">
      <c r="B16" s="14">
        <v>3</v>
      </c>
      <c r="C16" s="15" t="s">
        <v>19</v>
      </c>
      <c r="D16" s="13">
        <f>+D6+D11</f>
        <v>5513.19</v>
      </c>
      <c r="E16" s="13">
        <f t="shared" ref="E16:S16" si="4">+E6+E11</f>
        <v>47578.829700000002</v>
      </c>
      <c r="F16" s="13">
        <f t="shared" si="4"/>
        <v>4944.393</v>
      </c>
      <c r="G16" s="13">
        <f t="shared" si="4"/>
        <v>207664.84879999998</v>
      </c>
      <c r="H16" s="13">
        <f t="shared" si="4"/>
        <v>18.153000000000002</v>
      </c>
      <c r="I16" s="13">
        <f t="shared" si="4"/>
        <v>195.53589000000002</v>
      </c>
      <c r="J16" s="13">
        <f t="shared" si="4"/>
        <v>497.71600000000001</v>
      </c>
      <c r="K16" s="13">
        <f t="shared" si="4"/>
        <v>3783.5576899999996</v>
      </c>
      <c r="L16" s="13">
        <f t="shared" si="4"/>
        <v>12.496</v>
      </c>
      <c r="M16" s="13">
        <f t="shared" si="4"/>
        <v>107.84048000000001</v>
      </c>
      <c r="N16" s="13">
        <f t="shared" si="4"/>
        <v>485.57100000000003</v>
      </c>
      <c r="O16" s="13">
        <f t="shared" si="4"/>
        <v>4190.4777300000005</v>
      </c>
      <c r="P16" s="13">
        <f t="shared" si="4"/>
        <v>222.822</v>
      </c>
      <c r="Q16" s="13">
        <f t="shared" si="4"/>
        <v>11002.950360000001</v>
      </c>
      <c r="R16" s="13">
        <f t="shared" si="4"/>
        <v>11694.341</v>
      </c>
      <c r="S16" s="13">
        <f t="shared" si="4"/>
        <v>274524.04064999998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A62E-F4C0-420D-9557-41E51E9C54CE}">
  <dimension ref="B2:S16"/>
  <sheetViews>
    <sheetView workbookViewId="0">
      <selection activeCell="B3" sqref="B3"/>
    </sheetView>
  </sheetViews>
  <sheetFormatPr defaultRowHeight="14.25" x14ac:dyDescent="0.2"/>
  <cols>
    <col min="1" max="1" width="3.140625" style="5" customWidth="1"/>
    <col min="2" max="2" width="6.140625" style="5" customWidth="1"/>
    <col min="3" max="3" width="30.140625" style="5" customWidth="1"/>
    <col min="4" max="19" width="12.28515625" style="5" customWidth="1"/>
    <col min="20" max="16384" width="9.140625" style="5"/>
  </cols>
  <sheetData>
    <row r="2" spans="2:19" ht="15" customHeight="1" x14ac:dyDescent="0.2">
      <c r="B2" s="11" t="s">
        <v>23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4" spans="2:19" ht="28.5" customHeight="1" x14ac:dyDescent="0.2">
      <c r="B4" s="2" t="s">
        <v>2</v>
      </c>
      <c r="C4" s="2" t="s">
        <v>1</v>
      </c>
      <c r="D4" s="1" t="s">
        <v>3</v>
      </c>
      <c r="E4" s="1"/>
      <c r="F4" s="1" t="s">
        <v>4</v>
      </c>
      <c r="G4" s="1"/>
      <c r="H4" s="1" t="s">
        <v>5</v>
      </c>
      <c r="I4" s="1"/>
      <c r="J4" s="1" t="s">
        <v>6</v>
      </c>
      <c r="K4" s="1"/>
      <c r="L4" s="1" t="s">
        <v>7</v>
      </c>
      <c r="M4" s="1"/>
      <c r="N4" s="1" t="s">
        <v>8</v>
      </c>
      <c r="O4" s="1"/>
      <c r="P4" s="1" t="s">
        <v>9</v>
      </c>
      <c r="Q4" s="1"/>
      <c r="R4" s="1" t="s">
        <v>19</v>
      </c>
      <c r="S4" s="1"/>
    </row>
    <row r="5" spans="2:19" s="8" customFormat="1" x14ac:dyDescent="0.2">
      <c r="B5" s="3"/>
      <c r="C5" s="3"/>
      <c r="D5" s="7" t="s">
        <v>20</v>
      </c>
      <c r="E5" s="7" t="s">
        <v>12</v>
      </c>
      <c r="F5" s="7" t="s">
        <v>20</v>
      </c>
      <c r="G5" s="7" t="s">
        <v>12</v>
      </c>
      <c r="H5" s="7" t="s">
        <v>20</v>
      </c>
      <c r="I5" s="7" t="s">
        <v>12</v>
      </c>
      <c r="J5" s="7" t="s">
        <v>20</v>
      </c>
      <c r="K5" s="7" t="s">
        <v>12</v>
      </c>
      <c r="L5" s="7" t="s">
        <v>20</v>
      </c>
      <c r="M5" s="7" t="s">
        <v>12</v>
      </c>
      <c r="N5" s="7" t="s">
        <v>20</v>
      </c>
      <c r="O5" s="7" t="s">
        <v>12</v>
      </c>
      <c r="P5" s="7" t="s">
        <v>20</v>
      </c>
      <c r="Q5" s="7" t="s">
        <v>12</v>
      </c>
      <c r="R5" s="7" t="s">
        <v>20</v>
      </c>
      <c r="S5" s="7" t="s">
        <v>12</v>
      </c>
    </row>
    <row r="6" spans="2:19" s="16" customFormat="1" ht="15" x14ac:dyDescent="0.25">
      <c r="B6" s="14">
        <v>1</v>
      </c>
      <c r="C6" s="9" t="s">
        <v>13</v>
      </c>
      <c r="D6" s="13">
        <f>SUM(D7:D10)</f>
        <v>2885.152</v>
      </c>
      <c r="E6" s="13">
        <f t="shared" ref="E6:S6" si="0">SUM(E7:E10)</f>
        <v>24898.861760000003</v>
      </c>
      <c r="F6" s="13">
        <f t="shared" si="0"/>
        <v>0</v>
      </c>
      <c r="G6" s="13">
        <f t="shared" si="0"/>
        <v>0</v>
      </c>
      <c r="H6" s="13">
        <f t="shared" si="0"/>
        <v>22.237000000000002</v>
      </c>
      <c r="I6" s="13">
        <f t="shared" si="0"/>
        <v>278.78431</v>
      </c>
      <c r="J6" s="13">
        <f t="shared" si="0"/>
        <v>724.80399999999997</v>
      </c>
      <c r="K6" s="13">
        <f t="shared" si="0"/>
        <v>5442.78035</v>
      </c>
      <c r="L6" s="13">
        <f t="shared" si="0"/>
        <v>14.372999999999999</v>
      </c>
      <c r="M6" s="13">
        <f t="shared" si="0"/>
        <v>124.03899000000001</v>
      </c>
      <c r="N6" s="13">
        <f t="shared" si="0"/>
        <v>393.06900000000002</v>
      </c>
      <c r="O6" s="13">
        <f t="shared" si="0"/>
        <v>3392.1854700000004</v>
      </c>
      <c r="P6" s="13">
        <f t="shared" si="0"/>
        <v>241.691000000001</v>
      </c>
      <c r="Q6" s="13">
        <f t="shared" si="0"/>
        <v>11934.70158000005</v>
      </c>
      <c r="R6" s="13">
        <f>SUM(R7:R10)</f>
        <v>4281.3260000000009</v>
      </c>
      <c r="S6" s="13">
        <f t="shared" si="0"/>
        <v>46071.352460000053</v>
      </c>
    </row>
    <row r="7" spans="2:19" x14ac:dyDescent="0.2">
      <c r="B7" s="4"/>
      <c r="C7" s="10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>+D7+F7+H7+J7+L7+N7+P7</f>
        <v>0</v>
      </c>
      <c r="S7" s="12">
        <f>+E7+G7+I7+K7+M7+O7+Q7</f>
        <v>0</v>
      </c>
    </row>
    <row r="8" spans="2:19" x14ac:dyDescent="0.2">
      <c r="B8" s="4"/>
      <c r="C8" s="10" t="s">
        <v>16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ref="R8:S10" si="1">+D8+F8+H8+J8+L8+N8+P8</f>
        <v>0</v>
      </c>
      <c r="S8" s="12">
        <f t="shared" si="1"/>
        <v>0</v>
      </c>
    </row>
    <row r="9" spans="2:19" x14ac:dyDescent="0.2">
      <c r="B9" s="4"/>
      <c r="C9" s="10" t="s">
        <v>17</v>
      </c>
      <c r="D9" s="12"/>
      <c r="E9" s="12"/>
      <c r="F9" s="12"/>
      <c r="G9" s="12"/>
      <c r="H9" s="12"/>
      <c r="I9" s="12"/>
      <c r="J9" s="12">
        <v>629.673</v>
      </c>
      <c r="K9" s="12">
        <f>J9*7.34</f>
        <v>4621.7998200000002</v>
      </c>
      <c r="L9" s="12"/>
      <c r="M9" s="12"/>
      <c r="N9" s="12"/>
      <c r="O9" s="12"/>
      <c r="P9" s="12"/>
      <c r="Q9" s="12"/>
      <c r="R9" s="12">
        <f t="shared" si="1"/>
        <v>629.673</v>
      </c>
      <c r="S9" s="12">
        <f t="shared" si="1"/>
        <v>4621.7998200000002</v>
      </c>
    </row>
    <row r="10" spans="2:19" x14ac:dyDescent="0.2">
      <c r="B10" s="4"/>
      <c r="C10" s="10" t="s">
        <v>18</v>
      </c>
      <c r="D10" s="12">
        <v>2885.152</v>
      </c>
      <c r="E10" s="12">
        <f>D10*8.63</f>
        <v>24898.861760000003</v>
      </c>
      <c r="F10" s="12"/>
      <c r="G10" s="12"/>
      <c r="H10" s="12">
        <f>20.105+2.132</f>
        <v>22.237000000000002</v>
      </c>
      <c r="I10" s="12">
        <f>(H10-2.132)*8.63+2.132*49.38</f>
        <v>278.78431</v>
      </c>
      <c r="J10" s="12">
        <f>88.5+6.631</f>
        <v>95.131</v>
      </c>
      <c r="K10" s="12">
        <f>J10*8.63</f>
        <v>820.98053000000004</v>
      </c>
      <c r="L10" s="12">
        <v>14.372999999999999</v>
      </c>
      <c r="M10" s="12">
        <f>L10*8.63</f>
        <v>124.03899000000001</v>
      </c>
      <c r="N10" s="12">
        <v>393.06900000000002</v>
      </c>
      <c r="O10" s="12">
        <f>N10*8.63</f>
        <v>3392.1854700000004</v>
      </c>
      <c r="P10" s="12">
        <v>241.691000000001</v>
      </c>
      <c r="Q10" s="12">
        <f>P10*49.38</f>
        <v>11934.70158000005</v>
      </c>
      <c r="R10" s="12">
        <f t="shared" si="1"/>
        <v>3651.6530000000012</v>
      </c>
      <c r="S10" s="12">
        <f t="shared" si="1"/>
        <v>41449.552640000053</v>
      </c>
    </row>
    <row r="11" spans="2:19" s="16" customFormat="1" ht="15" x14ac:dyDescent="0.25">
      <c r="B11" s="14">
        <v>2</v>
      </c>
      <c r="C11" s="9" t="s">
        <v>14</v>
      </c>
      <c r="D11" s="13">
        <f>SUM(D12:D15)</f>
        <v>0</v>
      </c>
      <c r="E11" s="13">
        <f t="shared" ref="E11:S11" si="2">SUM(E12:E15)</f>
        <v>0</v>
      </c>
      <c r="F11" s="13">
        <f t="shared" si="2"/>
        <v>5220.2040000000006</v>
      </c>
      <c r="G11" s="13">
        <f t="shared" si="2"/>
        <v>219249.014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5220.2040000000006</v>
      </c>
      <c r="S11" s="13">
        <f t="shared" si="2"/>
        <v>219249.014</v>
      </c>
    </row>
    <row r="12" spans="2:19" x14ac:dyDescent="0.2">
      <c r="B12" s="6"/>
      <c r="C12" s="6" t="s">
        <v>15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S15" si="3">+D12+F12+H12+J12+L12+N12+P12</f>
        <v>0</v>
      </c>
      <c r="S12" s="12">
        <f t="shared" si="3"/>
        <v>0</v>
      </c>
    </row>
    <row r="13" spans="2:19" x14ac:dyDescent="0.2">
      <c r="B13" s="6"/>
      <c r="C13" s="6" t="s">
        <v>16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3"/>
        <v>0</v>
      </c>
      <c r="S13" s="12">
        <f t="shared" si="3"/>
        <v>0</v>
      </c>
    </row>
    <row r="14" spans="2:19" x14ac:dyDescent="0.2">
      <c r="B14" s="6"/>
      <c r="C14" s="6" t="s">
        <v>17</v>
      </c>
      <c r="D14" s="12"/>
      <c r="E14" s="12"/>
      <c r="F14" s="12">
        <v>5197.9040000000005</v>
      </c>
      <c r="G14" s="12">
        <f>216128.84832+2183.11968</f>
        <v>218311.96799999999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3"/>
        <v>5197.9040000000005</v>
      </c>
      <c r="S14" s="12">
        <f t="shared" si="3"/>
        <v>218311.96799999999</v>
      </c>
    </row>
    <row r="15" spans="2:19" x14ac:dyDescent="0.2">
      <c r="B15" s="6"/>
      <c r="C15" s="6" t="s">
        <v>18</v>
      </c>
      <c r="D15" s="12"/>
      <c r="E15" s="12"/>
      <c r="F15" s="12">
        <v>22.3</v>
      </c>
      <c r="G15" s="12">
        <f>927.234+9.812</f>
        <v>937.04600000000005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3"/>
        <v>22.3</v>
      </c>
      <c r="S15" s="12">
        <f t="shared" si="3"/>
        <v>937.04600000000005</v>
      </c>
    </row>
    <row r="16" spans="2:19" s="16" customFormat="1" ht="15" x14ac:dyDescent="0.25">
      <c r="B16" s="14">
        <v>3</v>
      </c>
      <c r="C16" s="15" t="s">
        <v>19</v>
      </c>
      <c r="D16" s="13">
        <f>+D6+D11</f>
        <v>2885.152</v>
      </c>
      <c r="E16" s="13">
        <f t="shared" ref="E16:S16" si="4">+E6+E11</f>
        <v>24898.861760000003</v>
      </c>
      <c r="F16" s="13">
        <f t="shared" si="4"/>
        <v>5220.2040000000006</v>
      </c>
      <c r="G16" s="13">
        <f>+G6+G11</f>
        <v>219249.014</v>
      </c>
      <c r="H16" s="13">
        <f t="shared" si="4"/>
        <v>22.237000000000002</v>
      </c>
      <c r="I16" s="13">
        <f t="shared" si="4"/>
        <v>278.78431</v>
      </c>
      <c r="J16" s="13">
        <f t="shared" si="4"/>
        <v>724.80399999999997</v>
      </c>
      <c r="K16" s="13">
        <f t="shared" si="4"/>
        <v>5442.78035</v>
      </c>
      <c r="L16" s="13">
        <f t="shared" si="4"/>
        <v>14.372999999999999</v>
      </c>
      <c r="M16" s="13">
        <f t="shared" si="4"/>
        <v>124.03899000000001</v>
      </c>
      <c r="N16" s="13">
        <f t="shared" si="4"/>
        <v>393.06900000000002</v>
      </c>
      <c r="O16" s="13">
        <f t="shared" si="4"/>
        <v>3392.1854700000004</v>
      </c>
      <c r="P16" s="13">
        <f t="shared" si="4"/>
        <v>241.691000000001</v>
      </c>
      <c r="Q16" s="13">
        <f t="shared" si="4"/>
        <v>11934.70158000005</v>
      </c>
      <c r="R16" s="13">
        <f t="shared" si="4"/>
        <v>9501.5300000000025</v>
      </c>
      <c r="S16" s="13">
        <f t="shared" si="4"/>
        <v>265320.36646000005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C2427-3309-4626-B13F-C253BA9D56B3}">
  <dimension ref="B2:S16"/>
  <sheetViews>
    <sheetView tabSelected="1" workbookViewId="0">
      <selection activeCell="H33" sqref="H33"/>
    </sheetView>
  </sheetViews>
  <sheetFormatPr defaultRowHeight="14.25" x14ac:dyDescent="0.2"/>
  <cols>
    <col min="1" max="1" width="3.140625" style="5" customWidth="1"/>
    <col min="2" max="2" width="6.140625" style="5" customWidth="1"/>
    <col min="3" max="3" width="30.140625" style="5" customWidth="1"/>
    <col min="4" max="19" width="12.28515625" style="5" customWidth="1"/>
    <col min="20" max="16384" width="9.140625" style="5"/>
  </cols>
  <sheetData>
    <row r="2" spans="2:19" ht="15" customHeight="1" x14ac:dyDescent="0.2">
      <c r="B2" s="11" t="s">
        <v>24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4" spans="2:19" ht="28.5" customHeight="1" x14ac:dyDescent="0.2">
      <c r="B4" s="2" t="s">
        <v>2</v>
      </c>
      <c r="C4" s="2" t="s">
        <v>1</v>
      </c>
      <c r="D4" s="1" t="s">
        <v>3</v>
      </c>
      <c r="E4" s="1"/>
      <c r="F4" s="1" t="s">
        <v>4</v>
      </c>
      <c r="G4" s="1"/>
      <c r="H4" s="1" t="s">
        <v>5</v>
      </c>
      <c r="I4" s="1"/>
      <c r="J4" s="1" t="s">
        <v>6</v>
      </c>
      <c r="K4" s="1"/>
      <c r="L4" s="1" t="s">
        <v>7</v>
      </c>
      <c r="M4" s="1"/>
      <c r="N4" s="1" t="s">
        <v>8</v>
      </c>
      <c r="O4" s="1"/>
      <c r="P4" s="1" t="s">
        <v>9</v>
      </c>
      <c r="Q4" s="1"/>
      <c r="R4" s="1" t="s">
        <v>19</v>
      </c>
      <c r="S4" s="1"/>
    </row>
    <row r="5" spans="2:19" s="8" customFormat="1" x14ac:dyDescent="0.2">
      <c r="B5" s="3"/>
      <c r="C5" s="3"/>
      <c r="D5" s="7" t="s">
        <v>20</v>
      </c>
      <c r="E5" s="7" t="s">
        <v>12</v>
      </c>
      <c r="F5" s="7" t="s">
        <v>20</v>
      </c>
      <c r="G5" s="7" t="s">
        <v>12</v>
      </c>
      <c r="H5" s="7" t="s">
        <v>20</v>
      </c>
      <c r="I5" s="7" t="s">
        <v>12</v>
      </c>
      <c r="J5" s="7" t="s">
        <v>20</v>
      </c>
      <c r="K5" s="7" t="s">
        <v>12</v>
      </c>
      <c r="L5" s="7" t="s">
        <v>20</v>
      </c>
      <c r="M5" s="7" t="s">
        <v>12</v>
      </c>
      <c r="N5" s="7" t="s">
        <v>20</v>
      </c>
      <c r="O5" s="7" t="s">
        <v>12</v>
      </c>
      <c r="P5" s="7" t="s">
        <v>20</v>
      </c>
      <c r="Q5" s="7" t="s">
        <v>12</v>
      </c>
      <c r="R5" s="7" t="s">
        <v>20</v>
      </c>
      <c r="S5" s="7" t="s">
        <v>12</v>
      </c>
    </row>
    <row r="6" spans="2:19" s="16" customFormat="1" ht="15" x14ac:dyDescent="0.25">
      <c r="B6" s="14">
        <v>1</v>
      </c>
      <c r="C6" s="9" t="s">
        <v>13</v>
      </c>
      <c r="D6" s="13">
        <f>SUM(D7:D10)</f>
        <v>1223.46</v>
      </c>
      <c r="E6" s="13">
        <f t="shared" ref="E6:S6" si="0">SUM(E7:E10)</f>
        <v>10558.459800000001</v>
      </c>
      <c r="F6" s="13">
        <f t="shared" si="0"/>
        <v>0</v>
      </c>
      <c r="G6" s="13">
        <f t="shared" si="0"/>
        <v>0</v>
      </c>
      <c r="H6" s="13">
        <f t="shared" si="0"/>
        <v>30.1</v>
      </c>
      <c r="I6" s="13">
        <f t="shared" si="0"/>
        <v>395.58275000000003</v>
      </c>
      <c r="J6" s="13">
        <f t="shared" si="0"/>
        <v>947.93599999999992</v>
      </c>
      <c r="K6" s="13">
        <f t="shared" si="0"/>
        <v>7099.7025100000001</v>
      </c>
      <c r="L6" s="13">
        <f t="shared" si="0"/>
        <v>40.438000000000002</v>
      </c>
      <c r="M6" s="13">
        <f t="shared" si="0"/>
        <v>348.97994000000006</v>
      </c>
      <c r="N6" s="13">
        <f t="shared" si="0"/>
        <v>581.06700000000001</v>
      </c>
      <c r="O6" s="13">
        <f t="shared" si="0"/>
        <v>5014.6082100000003</v>
      </c>
      <c r="P6" s="13">
        <f t="shared" si="0"/>
        <v>365.03100000000001</v>
      </c>
      <c r="Q6" s="13">
        <f t="shared" si="0"/>
        <v>18025.230780000002</v>
      </c>
      <c r="R6" s="13">
        <f>SUM(R7:R10)</f>
        <v>3188.0320000000002</v>
      </c>
      <c r="S6" s="13">
        <f t="shared" si="0"/>
        <v>41442.563990000002</v>
      </c>
    </row>
    <row r="7" spans="2:19" x14ac:dyDescent="0.2">
      <c r="B7" s="4"/>
      <c r="C7" s="10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f>+D7+F7+H7+J7+L7+N7+P7</f>
        <v>0</v>
      </c>
      <c r="S7" s="12">
        <f>+E7+G7+I7+K7+M7+O7+Q7</f>
        <v>0</v>
      </c>
    </row>
    <row r="8" spans="2:19" x14ac:dyDescent="0.2">
      <c r="B8" s="4"/>
      <c r="C8" s="10" t="s">
        <v>16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 t="shared" ref="R8:S10" si="1">+D8+F8+H8+J8+L8+N8+P8</f>
        <v>0</v>
      </c>
      <c r="S8" s="12">
        <f t="shared" si="1"/>
        <v>0</v>
      </c>
    </row>
    <row r="9" spans="2:19" x14ac:dyDescent="0.2">
      <c r="B9" s="4"/>
      <c r="C9" s="10" t="s">
        <v>17</v>
      </c>
      <c r="D9" s="12"/>
      <c r="E9" s="12"/>
      <c r="F9" s="12"/>
      <c r="G9" s="12"/>
      <c r="H9" s="12"/>
      <c r="I9" s="12"/>
      <c r="J9" s="12">
        <v>837.97299999999996</v>
      </c>
      <c r="K9" s="12">
        <f>J9*7.34</f>
        <v>6150.7218199999998</v>
      </c>
      <c r="L9" s="12"/>
      <c r="M9" s="12"/>
      <c r="N9" s="12"/>
      <c r="O9" s="12"/>
      <c r="P9" s="12"/>
      <c r="Q9" s="12"/>
      <c r="R9" s="12">
        <f t="shared" si="1"/>
        <v>837.97299999999996</v>
      </c>
      <c r="S9" s="12">
        <f t="shared" si="1"/>
        <v>6150.7218199999998</v>
      </c>
    </row>
    <row r="10" spans="2:19" x14ac:dyDescent="0.2">
      <c r="B10" s="4"/>
      <c r="C10" s="10" t="s">
        <v>18</v>
      </c>
      <c r="D10" s="12">
        <v>1223.46</v>
      </c>
      <c r="E10" s="12">
        <f>D10*8.63</f>
        <v>10558.459800000001</v>
      </c>
      <c r="F10" s="12"/>
      <c r="G10" s="12"/>
      <c r="H10" s="12">
        <f>26.767+3.333</f>
        <v>30.1</v>
      </c>
      <c r="I10" s="12">
        <f>(H10-3.333)*8.63+3.333*49.38</f>
        <v>395.58275000000003</v>
      </c>
      <c r="J10" s="12">
        <f>98.764+11.199</f>
        <v>109.96299999999999</v>
      </c>
      <c r="K10" s="12">
        <f>J10*8.63</f>
        <v>948.98068999999998</v>
      </c>
      <c r="L10" s="12">
        <v>40.438000000000002</v>
      </c>
      <c r="M10" s="12">
        <f>L10*8.63</f>
        <v>348.97994000000006</v>
      </c>
      <c r="N10" s="12">
        <v>581.06700000000001</v>
      </c>
      <c r="O10" s="12">
        <f>N10*8.63</f>
        <v>5014.6082100000003</v>
      </c>
      <c r="P10" s="12">
        <v>365.03100000000001</v>
      </c>
      <c r="Q10" s="12">
        <f>P10*49.38</f>
        <v>18025.230780000002</v>
      </c>
      <c r="R10" s="12">
        <f t="shared" si="1"/>
        <v>2350.0590000000002</v>
      </c>
      <c r="S10" s="12">
        <f t="shared" si="1"/>
        <v>35291.842170000004</v>
      </c>
    </row>
    <row r="11" spans="2:19" s="16" customFormat="1" ht="15" x14ac:dyDescent="0.25">
      <c r="B11" s="14">
        <v>2</v>
      </c>
      <c r="C11" s="9" t="s">
        <v>14</v>
      </c>
      <c r="D11" s="13">
        <f>SUM(D12:D15)</f>
        <v>0</v>
      </c>
      <c r="E11" s="13">
        <f t="shared" ref="E11:S11" si="2">SUM(E12:E15)</f>
        <v>0</v>
      </c>
      <c r="F11" s="13">
        <f t="shared" si="2"/>
        <v>5618.0639999999994</v>
      </c>
      <c r="G11" s="13">
        <f t="shared" si="2"/>
        <v>235960.40700000001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5618.0639999999994</v>
      </c>
      <c r="S11" s="13">
        <f t="shared" si="2"/>
        <v>235960.40700000001</v>
      </c>
    </row>
    <row r="12" spans="2:19" x14ac:dyDescent="0.2">
      <c r="B12" s="6"/>
      <c r="C12" s="6" t="s">
        <v>15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>
        <f t="shared" ref="R12:S15" si="3">+D12+F12+H12+J12+L12+N12+P12</f>
        <v>0</v>
      </c>
      <c r="S12" s="12">
        <f t="shared" si="3"/>
        <v>0</v>
      </c>
    </row>
    <row r="13" spans="2:19" x14ac:dyDescent="0.2">
      <c r="B13" s="6"/>
      <c r="C13" s="6" t="s">
        <v>16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3"/>
        <v>0</v>
      </c>
      <c r="S13" s="12">
        <f t="shared" si="3"/>
        <v>0</v>
      </c>
    </row>
    <row r="14" spans="2:19" x14ac:dyDescent="0.2">
      <c r="B14" s="6"/>
      <c r="C14" s="6" t="s">
        <v>17</v>
      </c>
      <c r="D14" s="12"/>
      <c r="E14" s="12"/>
      <c r="F14" s="12">
        <v>5532.1139999999996</v>
      </c>
      <c r="G14" s="12">
        <f>230025.30012+2323.48788</f>
        <v>232348.788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>
        <f t="shared" si="3"/>
        <v>5532.1139999999996</v>
      </c>
      <c r="S14" s="12">
        <f t="shared" si="3"/>
        <v>232348.788</v>
      </c>
    </row>
    <row r="15" spans="2:19" x14ac:dyDescent="0.2">
      <c r="B15" s="6"/>
      <c r="C15" s="6" t="s">
        <v>18</v>
      </c>
      <c r="D15" s="12"/>
      <c r="E15" s="12"/>
      <c r="F15" s="12">
        <v>85.95</v>
      </c>
      <c r="G15" s="12">
        <f>3573.801+37.818</f>
        <v>3611.6190000000001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si="3"/>
        <v>85.95</v>
      </c>
      <c r="S15" s="12">
        <f t="shared" si="3"/>
        <v>3611.6190000000001</v>
      </c>
    </row>
    <row r="16" spans="2:19" s="16" customFormat="1" ht="15" x14ac:dyDescent="0.25">
      <c r="B16" s="14">
        <v>3</v>
      </c>
      <c r="C16" s="15" t="s">
        <v>19</v>
      </c>
      <c r="D16" s="13">
        <f>+D6+D11</f>
        <v>1223.46</v>
      </c>
      <c r="E16" s="13">
        <f t="shared" ref="E16:S16" si="4">+E6+E11</f>
        <v>10558.459800000001</v>
      </c>
      <c r="F16" s="13">
        <f t="shared" si="4"/>
        <v>5618.0639999999994</v>
      </c>
      <c r="G16" s="13">
        <f>+G6+G11</f>
        <v>235960.40700000001</v>
      </c>
      <c r="H16" s="13">
        <f t="shared" si="4"/>
        <v>30.1</v>
      </c>
      <c r="I16" s="13">
        <f t="shared" si="4"/>
        <v>395.58275000000003</v>
      </c>
      <c r="J16" s="13">
        <f t="shared" si="4"/>
        <v>947.93599999999992</v>
      </c>
      <c r="K16" s="13">
        <f t="shared" si="4"/>
        <v>7099.7025100000001</v>
      </c>
      <c r="L16" s="13">
        <f t="shared" si="4"/>
        <v>40.438000000000002</v>
      </c>
      <c r="M16" s="13">
        <f t="shared" si="4"/>
        <v>348.97994000000006</v>
      </c>
      <c r="N16" s="13">
        <f t="shared" si="4"/>
        <v>581.06700000000001</v>
      </c>
      <c r="O16" s="13">
        <f t="shared" si="4"/>
        <v>5014.6082100000003</v>
      </c>
      <c r="P16" s="13">
        <f t="shared" si="4"/>
        <v>365.03100000000001</v>
      </c>
      <c r="Q16" s="13">
        <f t="shared" si="4"/>
        <v>18025.230780000002</v>
      </c>
      <c r="R16" s="13">
        <f t="shared" si="4"/>
        <v>8806.0959999999995</v>
      </c>
      <c r="S16" s="13">
        <f t="shared" si="4"/>
        <v>277402.97099</v>
      </c>
    </row>
  </sheetData>
  <mergeCells count="11"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июнь 2024</vt:lpstr>
      <vt:lpstr>июль 2024</vt:lpstr>
      <vt:lpstr>август 2024</vt:lpstr>
      <vt:lpstr>сентябрь 2024</vt:lpstr>
      <vt:lpstr>октябрь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2024-11-07T06:36:15Z</dcterms:modified>
</cp:coreProperties>
</file>